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<sst xmlns="http://schemas.openxmlformats.org/spreadsheetml/2006/main" uniqueCount="83">
  <si>
    <t>Table 1</t>
  </si>
  <si>
    <t>Post Money SAFE Dilution Analysis</t>
  </si>
  <si>
    <t>Y Combinator Example from “SAFE Quickstart Guide”</t>
  </si>
  <si>
    <r>
      <rPr>
        <b val="1"/>
        <sz val="16"/>
        <color indexed="12"/>
        <rFont val="Helvetica Neue"/>
      </rPr>
      <t xml:space="preserve">Green </t>
    </r>
    <r>
      <rPr>
        <b val="1"/>
        <sz val="13"/>
        <color indexed="8"/>
        <rFont val="Helvetica Neue"/>
      </rPr>
      <t>cells are for your data entry.  Be careful if you modify any formulas!</t>
    </r>
  </si>
  <si>
    <t>Fixed percent allocated post-round for new Options Post Round</t>
  </si>
  <si>
    <t>Fixed percent ownership of the Series A - including SAFE pro rata</t>
  </si>
  <si>
    <t>Post-Money SAFE round diluted by the additional options - including those with a pro rata</t>
  </si>
  <si>
    <t>No discounts on the SAFEs</t>
  </si>
  <si>
    <t>Pre-round ownership</t>
  </si>
  <si>
    <t>Outstanding Ownership</t>
  </si>
  <si>
    <t>Totally diluted</t>
  </si>
  <si>
    <t>Founders</t>
  </si>
  <si>
    <t>Allocated options</t>
  </si>
  <si>
    <t>Total Outstanding</t>
  </si>
  <si>
    <t>Uncommitted options</t>
  </si>
  <si>
    <t>Total Securities</t>
  </si>
  <si>
    <t>Post-Money SAFEs</t>
  </si>
  <si>
    <t>Amount</t>
  </si>
  <si>
    <t>Post-money Cap</t>
  </si>
  <si>
    <t>Percent</t>
  </si>
  <si>
    <t>Pro Rata?</t>
  </si>
  <si>
    <t>% for SAFEs with Pro Rata</t>
  </si>
  <si>
    <t>SAFE A</t>
  </si>
  <si>
    <t>No</t>
  </si>
  <si>
    <t>SAFE B</t>
  </si>
  <si>
    <t>Yes</t>
  </si>
  <si>
    <t>SAFE C</t>
  </si>
  <si>
    <t>SAFE D</t>
  </si>
  <si>
    <t>SAFE E</t>
  </si>
  <si>
    <t>Total</t>
  </si>
  <si>
    <t>Series A</t>
  </si>
  <si>
    <t>Pre-money</t>
  </si>
  <si>
    <t>Investment</t>
  </si>
  <si>
    <t>Series A investor C</t>
  </si>
  <si>
    <t>Other new investors</t>
  </si>
  <si>
    <t>Option pool requirement</t>
  </si>
  <si>
    <t>Series A %</t>
  </si>
  <si>
    <t>Cap Table After SAFE Conversion</t>
  </si>
  <si>
    <t>Series A price estimate</t>
  </si>
  <si>
    <t>Less than:</t>
  </si>
  <si>
    <t>Pre-money value divided by fully diluted shares after SAFE round</t>
  </si>
  <si>
    <t>Calculated</t>
  </si>
  <si>
    <t>Target</t>
  </si>
  <si>
    <t>Your price estimate</t>
  </si>
  <si>
    <t>Series A   %:</t>
  </si>
  <si>
    <t>Options percent:</t>
  </si>
  <si>
    <t>Estimate of stock needed for SAFE round</t>
  </si>
  <si>
    <t>Shares using the SAFE price</t>
  </si>
  <si>
    <t>SAFE price</t>
  </si>
  <si>
    <t>Series A Price</t>
  </si>
  <si>
    <t>Shares using Series A price</t>
  </si>
  <si>
    <t>Shares converted with Series A price</t>
  </si>
  <si>
    <t>Percent of those converting at SAFE price</t>
  </si>
  <si>
    <r>
      <rPr>
        <b val="1"/>
        <sz val="13"/>
        <color indexed="8"/>
        <rFont val="Helvetica Neue"/>
      </rPr>
      <t>Amount</t>
    </r>
    <r>
      <rPr>
        <sz val="10"/>
        <color indexed="8"/>
        <rFont val="Helvetica Neue"/>
      </rPr>
      <t xml:space="preserve"> </t>
    </r>
    <r>
      <rPr>
        <b val="1"/>
        <sz val="13"/>
        <color indexed="8"/>
        <rFont val="Helvetica Neue"/>
      </rPr>
      <t>Invested</t>
    </r>
  </si>
  <si>
    <t>Post SAFE Shares Required</t>
  </si>
  <si>
    <t>SAFE Shares</t>
  </si>
  <si>
    <t>Common Stock</t>
  </si>
  <si>
    <t>Preferred Stock</t>
  </si>
  <si>
    <t>Stock Plan</t>
  </si>
  <si>
    <t>Committed Options</t>
  </si>
  <si>
    <t>Options available</t>
  </si>
  <si>
    <t>Series A shares</t>
  </si>
  <si>
    <t>Amount invested divided by share price</t>
  </si>
  <si>
    <t>Pro rata for SAFE A</t>
  </si>
  <si>
    <t>Pro rata for SAFE B</t>
  </si>
  <si>
    <t>Total number of Series A shares times the share ownership percentage promised to the SAFE holder</t>
  </si>
  <si>
    <t>Pro rata for SAFE C</t>
  </si>
  <si>
    <t>Pro rata for SAFE D</t>
  </si>
  <si>
    <t>Pro rata for SAFE E</t>
  </si>
  <si>
    <t>Shares available for Series A</t>
  </si>
  <si>
    <t>Total shares not including unallocated options</t>
  </si>
  <si>
    <t>New options to issue</t>
  </si>
  <si>
    <t>Number of shares prior to new options divided by (1-option%)</t>
  </si>
  <si>
    <t>Unallocated options that already existed</t>
  </si>
  <si>
    <t>Total unallocated options:</t>
  </si>
  <si>
    <t>Fully diluted shares</t>
  </si>
  <si>
    <t>Shares</t>
  </si>
  <si>
    <t>Fully Diluted Ownership</t>
  </si>
  <si>
    <t>Series A investor 1</t>
  </si>
  <si>
    <t>Other Series A investors</t>
  </si>
  <si>
    <t>Options committed</t>
  </si>
  <si>
    <t>Total outstanding</t>
  </si>
  <si>
    <t>Total fully diluted</t>
  </si>
</sst>
</file>

<file path=xl/styles.xml><?xml version="1.0" encoding="utf-8"?>
<styleSheet xmlns="http://schemas.openxmlformats.org/spreadsheetml/2006/main">
  <numFmts count="11">
    <numFmt numFmtId="0" formatCode="General"/>
    <numFmt numFmtId="59" formatCode="#,##0.00%"/>
    <numFmt numFmtId="60" formatCode="&quot;$&quot;#,##0"/>
    <numFmt numFmtId="61" formatCode="0.0%"/>
    <numFmt numFmtId="62" formatCode="#,##0%"/>
    <numFmt numFmtId="63" formatCode="&quot;$&quot;#,##0.0000"/>
    <numFmt numFmtId="64" formatCode="&quot;$&quot;0.0000000"/>
    <numFmt numFmtId="65" formatCode="#,##0.0"/>
    <numFmt numFmtId="66" formatCode="#,##0.000%"/>
    <numFmt numFmtId="67" formatCode="&quot;$&quot;#,##0.00"/>
    <numFmt numFmtId="68" formatCode="#,##0.0000%"/>
  </numFmts>
  <fonts count="12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b val="1"/>
      <sz val="19"/>
      <color indexed="8"/>
      <name val="Helvetica Neue"/>
    </font>
    <font>
      <b val="1"/>
      <sz val="15"/>
      <color indexed="8"/>
      <name val="Helvetica Neue"/>
    </font>
    <font>
      <b val="1"/>
      <sz val="13"/>
      <color indexed="8"/>
      <name val="Helvetica Neue"/>
    </font>
    <font>
      <b val="1"/>
      <sz val="16"/>
      <color indexed="12"/>
      <name val="Helvetica Neue"/>
    </font>
    <font>
      <sz val="13"/>
      <color indexed="8"/>
      <name val="Helvetica Neue"/>
    </font>
    <font>
      <b val="1"/>
      <sz val="13"/>
      <color indexed="12"/>
      <name val="Helvetica Neue"/>
    </font>
    <font>
      <b val="1"/>
      <sz val="17"/>
      <color indexed="8"/>
      <name val="Helvetica Neue"/>
    </font>
    <font>
      <b val="1"/>
      <sz val="14"/>
      <color indexed="8"/>
      <name val="Helvetica Neue"/>
    </font>
    <font>
      <sz val="11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49" fontId="3" borderId="2" applyNumberFormat="1" applyFont="1" applyFill="0" applyBorder="1" applyAlignment="1" applyProtection="0">
      <alignment horizontal="center" vertical="top" wrapText="1"/>
    </xf>
    <xf numFmtId="0" fontId="0" borderId="3" applyNumberFormat="0" applyFont="1" applyFill="0" applyBorder="1" applyAlignment="1" applyProtection="0">
      <alignment vertical="top" wrapText="1"/>
    </xf>
    <xf numFmtId="49" fontId="4" borderId="3" applyNumberFormat="1" applyFont="1" applyFill="0" applyBorder="1" applyAlignment="1" applyProtection="0">
      <alignment vertical="top" wrapText="1"/>
    </xf>
    <xf numFmtId="49" fontId="5" borderId="3" applyNumberFormat="1" applyFont="1" applyFill="0" applyBorder="1" applyAlignment="1" applyProtection="0">
      <alignment vertical="top" wrapText="1"/>
    </xf>
    <xf numFmtId="0" fontId="5" borderId="3" applyNumberFormat="0" applyFont="1" applyFill="0" applyBorder="1" applyAlignment="1" applyProtection="0">
      <alignment vertical="top" wrapText="1"/>
    </xf>
    <xf numFmtId="49" fontId="4" fillId="3" borderId="3" applyNumberFormat="1" applyFont="1" applyFill="1" applyBorder="1" applyAlignment="1" applyProtection="0">
      <alignment vertical="top" wrapText="1"/>
    </xf>
    <xf numFmtId="0" fontId="5" fillId="3" borderId="3" applyNumberFormat="0" applyFont="1" applyFill="1" applyBorder="1" applyAlignment="1" applyProtection="0">
      <alignment horizontal="right" vertical="top" wrapText="1"/>
    </xf>
    <xf numFmtId="49" fontId="5" fillId="3" borderId="3" applyNumberFormat="1" applyFont="1" applyFill="1" applyBorder="1" applyAlignment="1" applyProtection="0">
      <alignment horizontal="right" vertical="top" wrapText="1"/>
    </xf>
    <xf numFmtId="0" fontId="0" fillId="3" borderId="3" applyNumberFormat="0" applyFont="1" applyFill="1" applyBorder="1" applyAlignment="1" applyProtection="0">
      <alignment vertical="top" wrapText="1"/>
    </xf>
    <xf numFmtId="49" fontId="7" fillId="3" borderId="3" applyNumberFormat="1" applyFont="1" applyFill="1" applyBorder="1" applyAlignment="1" applyProtection="0">
      <alignment vertical="top" wrapText="1"/>
    </xf>
    <xf numFmtId="3" fontId="8" fillId="3" borderId="3" applyNumberFormat="1" applyFont="1" applyFill="1" applyBorder="1" applyAlignment="1" applyProtection="0">
      <alignment vertical="top" wrapText="1"/>
    </xf>
    <xf numFmtId="59" fontId="7" fillId="3" borderId="3" applyNumberFormat="1" applyFont="1" applyFill="1" applyBorder="1" applyAlignment="1" applyProtection="0">
      <alignment vertical="top" wrapText="1"/>
    </xf>
    <xf numFmtId="0" fontId="5" fillId="3" borderId="3" applyNumberFormat="0" applyFont="1" applyFill="1" applyBorder="1" applyAlignment="1" applyProtection="0">
      <alignment vertical="top" wrapText="1"/>
    </xf>
    <xf numFmtId="3" fontId="5" fillId="3" borderId="3" applyNumberFormat="1" applyFont="1" applyFill="1" applyBorder="1" applyAlignment="1" applyProtection="0">
      <alignment vertical="top" wrapText="1"/>
    </xf>
    <xf numFmtId="49" fontId="5" fillId="3" borderId="3" applyNumberFormat="1" applyFont="1" applyFill="1" applyBorder="1" applyAlignment="1" applyProtection="0">
      <alignment vertical="top" wrapText="1"/>
    </xf>
    <xf numFmtId="60" fontId="8" fillId="3" borderId="3" applyNumberFormat="1" applyFont="1" applyFill="1" applyBorder="1" applyAlignment="1" applyProtection="0">
      <alignment vertical="top" wrapText="1"/>
    </xf>
    <xf numFmtId="9" fontId="8" fillId="3" borderId="3" applyNumberFormat="1" applyFont="1" applyFill="1" applyBorder="1" applyAlignment="1" applyProtection="0">
      <alignment vertical="top" wrapText="1"/>
    </xf>
    <xf numFmtId="49" fontId="8" fillId="3" borderId="3" applyNumberFormat="1" applyFont="1" applyFill="1" applyBorder="1" applyAlignment="1" applyProtection="0">
      <alignment horizontal="center" vertical="top" wrapText="1"/>
    </xf>
    <xf numFmtId="0" fontId="1" fillId="3" borderId="3" applyNumberFormat="1" applyFont="1" applyFill="1" applyBorder="1" applyAlignment="1" applyProtection="0">
      <alignment vertical="top" wrapText="1"/>
    </xf>
    <xf numFmtId="61" fontId="8" fillId="3" borderId="3" applyNumberFormat="1" applyFont="1" applyFill="1" applyBorder="1" applyAlignment="1" applyProtection="0">
      <alignment vertical="top" wrapText="1"/>
    </xf>
    <xf numFmtId="61" fontId="1" fillId="3" borderId="3" applyNumberFormat="1" applyFont="1" applyFill="1" applyBorder="1" applyAlignment="1" applyProtection="0">
      <alignment vertical="top" wrapText="1"/>
    </xf>
    <xf numFmtId="49" fontId="5" borderId="3" applyNumberFormat="1" applyFont="1" applyFill="0" applyBorder="1" applyAlignment="1" applyProtection="0">
      <alignment horizontal="right" vertical="top" wrapText="1"/>
    </xf>
    <xf numFmtId="9" fontId="5" borderId="3" applyNumberFormat="1" applyFont="1" applyFill="0" applyBorder="1" applyAlignment="1" applyProtection="0">
      <alignment vertical="top" wrapText="1"/>
    </xf>
    <xf numFmtId="61" fontId="5" borderId="3" applyNumberFormat="1" applyFont="1" applyFill="0" applyBorder="1" applyAlignment="1" applyProtection="0">
      <alignment vertical="top" wrapText="1"/>
    </xf>
    <xf numFmtId="0" fontId="7" fillId="3" borderId="3" applyNumberFormat="0" applyFont="1" applyFill="1" applyBorder="1" applyAlignment="1" applyProtection="0">
      <alignment vertical="top" wrapText="1"/>
    </xf>
    <xf numFmtId="10" fontId="8" fillId="3" borderId="3" applyNumberFormat="1" applyFont="1" applyFill="1" applyBorder="1" applyAlignment="1" applyProtection="0">
      <alignment vertical="top" wrapText="1"/>
    </xf>
    <xf numFmtId="62" fontId="5" fillId="3" borderId="3" applyNumberFormat="1" applyFont="1" applyFill="1" applyBorder="1" applyAlignment="1" applyProtection="0">
      <alignment vertical="top" wrapText="1"/>
    </xf>
    <xf numFmtId="59" fontId="5" fillId="3" borderId="3" applyNumberFormat="1" applyFont="1" applyFill="1" applyBorder="1" applyAlignment="1" applyProtection="0">
      <alignment vertical="top" wrapText="1"/>
    </xf>
    <xf numFmtId="49" fontId="9" borderId="3" applyNumberFormat="1" applyFont="1" applyFill="0" applyBorder="1" applyAlignment="1" applyProtection="0">
      <alignment vertical="top" wrapText="1"/>
    </xf>
    <xf numFmtId="49" fontId="7" borderId="3" applyNumberFormat="1" applyFont="1" applyFill="0" applyBorder="1" applyAlignment="1" applyProtection="0">
      <alignment vertical="top" wrapText="1"/>
    </xf>
    <xf numFmtId="0" fontId="7" borderId="3" applyNumberFormat="0" applyFont="1" applyFill="0" applyBorder="1" applyAlignment="1" applyProtection="0">
      <alignment horizontal="right" vertical="top" wrapText="1"/>
    </xf>
    <xf numFmtId="49" fontId="7" borderId="3" applyNumberFormat="1" applyFont="1" applyFill="0" applyBorder="1" applyAlignment="1" applyProtection="0">
      <alignment horizontal="right" vertical="top" wrapText="1"/>
    </xf>
    <xf numFmtId="63" fontId="7" borderId="3" applyNumberFormat="1" applyFont="1" applyFill="0" applyBorder="1" applyAlignment="1" applyProtection="0">
      <alignment horizontal="left" vertical="top" wrapText="1"/>
    </xf>
    <xf numFmtId="49" fontId="1" borderId="3" applyNumberFormat="1" applyFont="1" applyFill="0" applyBorder="1" applyAlignment="1" applyProtection="0">
      <alignment vertical="top" wrapText="1"/>
    </xf>
    <xf numFmtId="0" fontId="1" borderId="3" applyNumberFormat="0" applyFont="1" applyFill="0" applyBorder="1" applyAlignment="1" applyProtection="0">
      <alignment vertical="top" wrapText="1"/>
    </xf>
    <xf numFmtId="0" fontId="7" borderId="3" applyNumberFormat="0" applyFont="1" applyFill="0" applyBorder="1" applyAlignment="1" applyProtection="0">
      <alignment vertical="top" wrapText="1"/>
    </xf>
    <xf numFmtId="64" fontId="8" borderId="3" applyNumberFormat="1" applyFont="1" applyFill="0" applyBorder="1" applyAlignment="1" applyProtection="0">
      <alignment vertical="top" wrapText="1"/>
    </xf>
    <xf numFmtId="49" fontId="5" borderId="3" applyNumberFormat="1" applyFont="1" applyFill="0" applyBorder="1" applyAlignment="1" applyProtection="0">
      <alignment horizontal="left" vertical="top" wrapText="1"/>
    </xf>
    <xf numFmtId="59" fontId="7" borderId="3" applyNumberFormat="1" applyFont="1" applyFill="0" applyBorder="1" applyAlignment="1" applyProtection="0">
      <alignment horizontal="left" vertical="top" wrapText="1"/>
    </xf>
    <xf numFmtId="65" fontId="7" borderId="3" applyNumberFormat="1" applyFont="1" applyFill="0" applyBorder="1" applyAlignment="1" applyProtection="0">
      <alignment vertical="top" wrapText="1"/>
    </xf>
    <xf numFmtId="66" fontId="7" borderId="3" applyNumberFormat="1" applyFont="1" applyFill="0" applyBorder="1" applyAlignment="1" applyProtection="0">
      <alignment horizontal="left" vertical="top" wrapText="1"/>
    </xf>
    <xf numFmtId="10" fontId="7" borderId="3" applyNumberFormat="1" applyFont="1" applyFill="0" applyBorder="1" applyAlignment="1" applyProtection="0">
      <alignment horizontal="left" vertical="top" wrapText="1"/>
    </xf>
    <xf numFmtId="0" fontId="10" borderId="3" applyNumberFormat="0" applyFont="1" applyFill="0" applyBorder="1" applyAlignment="1" applyProtection="0">
      <alignment vertical="top" wrapText="1"/>
    </xf>
    <xf numFmtId="0" fontId="5" borderId="3" applyNumberFormat="0" applyFont="1" applyFill="0" applyBorder="1" applyAlignment="1" applyProtection="0">
      <alignment horizontal="right" vertical="top" wrapText="1"/>
    </xf>
    <xf numFmtId="49" fontId="0" borderId="3" applyNumberFormat="1" applyFont="1" applyFill="0" applyBorder="1" applyAlignment="1" applyProtection="0">
      <alignment vertical="top" wrapText="1"/>
    </xf>
    <xf numFmtId="67" fontId="7" borderId="3" applyNumberFormat="1" applyFont="1" applyFill="0" applyBorder="1" applyAlignment="1" applyProtection="0">
      <alignment vertical="top" wrapText="1"/>
    </xf>
    <xf numFmtId="64" fontId="7" borderId="3" applyNumberFormat="1" applyFont="1" applyFill="0" applyBorder="1" applyAlignment="1" applyProtection="0">
      <alignment vertical="top" wrapText="1"/>
    </xf>
    <xf numFmtId="9" fontId="7" borderId="3" applyNumberFormat="1" applyFont="1" applyFill="0" applyBorder="1" applyAlignment="1" applyProtection="0">
      <alignment vertical="top" wrapText="1"/>
    </xf>
    <xf numFmtId="60" fontId="7" borderId="3" applyNumberFormat="1" applyFont="1" applyFill="0" applyBorder="1" applyAlignment="1" applyProtection="0">
      <alignment vertical="top" wrapText="1"/>
    </xf>
    <xf numFmtId="61" fontId="7" borderId="3" applyNumberFormat="1" applyFont="1" applyFill="0" applyBorder="1" applyAlignment="1" applyProtection="0">
      <alignment vertical="top" wrapText="1"/>
    </xf>
    <xf numFmtId="0" fontId="7" borderId="3" applyNumberFormat="1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3" fontId="7" fillId="3" borderId="3" applyNumberFormat="1" applyFont="1" applyFill="1" applyBorder="1" applyAlignment="1" applyProtection="0">
      <alignment vertical="top" wrapText="1"/>
    </xf>
    <xf numFmtId="65" fontId="7" fillId="3" borderId="3" applyNumberFormat="1" applyFont="1" applyFill="1" applyBorder="1" applyAlignment="1" applyProtection="0">
      <alignment vertical="top" wrapText="1"/>
    </xf>
    <xf numFmtId="68" fontId="7" fillId="3" borderId="3" applyNumberFormat="1" applyFont="1" applyFill="1" applyBorder="1" applyAlignment="1" applyProtection="0">
      <alignment vertical="top" wrapText="1"/>
    </xf>
    <xf numFmtId="65" fontId="5" fillId="3" borderId="3" applyNumberFormat="1" applyFont="1" applyFill="1" applyBorder="1" applyAlignment="1" applyProtection="0">
      <alignment vertical="top" wrapText="1"/>
    </xf>
    <xf numFmtId="59" fontId="0" borderId="3" applyNumberFormat="1" applyFont="1" applyFill="0" applyBorder="1" applyAlignment="1" applyProtection="0">
      <alignment vertical="top" wrapText="1"/>
    </xf>
    <xf numFmtId="49" fontId="11" borderId="3" applyNumberFormat="1" applyFont="1" applyFill="0" applyBorder="1" applyAlignment="1" applyProtection="0">
      <alignment vertical="top" wrapText="1"/>
    </xf>
    <xf numFmtId="0" fontId="11" borderId="3" applyNumberFormat="0" applyFont="1" applyFill="0" applyBorder="1" applyAlignment="1" applyProtection="0">
      <alignment vertical="top" wrapText="1"/>
    </xf>
    <xf numFmtId="3" fontId="0" borderId="3" applyNumberFormat="1" applyFont="1" applyFill="0" applyBorder="1" applyAlignment="1" applyProtection="0">
      <alignment vertical="top" wrapText="1"/>
    </xf>
    <xf numFmtId="65" fontId="7" fillId="4" borderId="3" applyNumberFormat="1" applyFont="1" applyFill="1" applyBorder="1" applyAlignment="1" applyProtection="0">
      <alignment vertical="top" wrapText="1"/>
    </xf>
    <xf numFmtId="65" fontId="7" borderId="3" applyNumberFormat="1" applyFont="1" applyFill="0" applyBorder="1" applyAlignment="1" applyProtection="0">
      <alignment horizontal="left" vertical="top" wrapText="1"/>
    </xf>
    <xf numFmtId="0" fontId="7" fillId="3" borderId="3" applyNumberFormat="0" applyFont="1" applyFill="1" applyBorder="1" applyAlignment="1" applyProtection="0">
      <alignment horizontal="righ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017000"/>
      <rgbColor rgb="ffd5d5d5"/>
      <rgbColor rgb="fffefef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P104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1" width="10.7891" style="1" customWidth="1"/>
    <col min="2" max="2" width="20.6094" style="1" customWidth="1"/>
    <col min="3" max="3" width="1.40625" style="1" customWidth="1"/>
    <col min="4" max="4" width="16.3516" style="1" customWidth="1"/>
    <col min="5" max="5" width="1.40625" style="1" customWidth="1"/>
    <col min="6" max="6" width="20.0312" style="1" customWidth="1"/>
    <col min="7" max="7" width="1.40625" style="1" customWidth="1"/>
    <col min="8" max="8" width="17.4688" style="1" customWidth="1"/>
    <col min="9" max="9" width="16.3516" style="1" customWidth="1"/>
    <col min="10" max="10" width="1.74219" style="1" customWidth="1"/>
    <col min="11" max="16" width="16.3516" style="1" customWidth="1"/>
    <col min="17" max="256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1.95" customHeight="1">
      <c r="A3" s="4"/>
      <c r="B3" t="s" s="5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0.0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ht="25.9" customHeight="1">
      <c r="A5" s="6"/>
      <c r="B5" t="s" s="7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26.85" customHeight="1">
      <c r="A6" s="6"/>
      <c r="B6" t="s" s="8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9"/>
      <c r="N6" s="9"/>
      <c r="O6" s="9"/>
      <c r="P6" s="9"/>
    </row>
    <row r="7" ht="23.95" customHeight="1">
      <c r="A7" s="6"/>
      <c r="B7" s="9"/>
      <c r="C7" s="6"/>
      <c r="D7" s="6"/>
      <c r="E7" s="6"/>
      <c r="F7" s="6"/>
      <c r="G7" s="6"/>
      <c r="H7" s="6"/>
      <c r="I7" s="6"/>
      <c r="J7" s="6"/>
      <c r="K7" s="6"/>
      <c r="L7" s="6"/>
      <c r="M7" s="9"/>
      <c r="N7" s="9"/>
      <c r="O7" s="9"/>
      <c r="P7" s="9"/>
    </row>
    <row r="8" ht="23.95" customHeight="1">
      <c r="A8" s="6"/>
      <c r="B8" t="s" s="8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9"/>
      <c r="N8" s="9"/>
      <c r="O8" s="9"/>
      <c r="P8" s="9"/>
    </row>
    <row r="9" ht="23.95" customHeight="1">
      <c r="A9" s="6"/>
      <c r="B9" t="s" s="8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9"/>
      <c r="N9" s="9"/>
      <c r="O9" s="9"/>
      <c r="P9" s="9"/>
    </row>
    <row r="10" ht="23.95" customHeight="1">
      <c r="A10" s="6"/>
      <c r="B10" t="s" s="8">
        <v>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9"/>
      <c r="N10" s="9"/>
      <c r="O10" s="9"/>
      <c r="P10" s="9"/>
    </row>
    <row r="11" ht="23.95" customHeight="1">
      <c r="A11" s="6"/>
      <c r="B11" t="s" s="8">
        <v>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9"/>
      <c r="N11" s="9"/>
      <c r="O11" s="9"/>
      <c r="P11" s="9"/>
    </row>
    <row r="12" ht="20.0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ht="39.95" customHeight="1">
      <c r="A13" s="6"/>
      <c r="B13" t="s" s="10">
        <v>8</v>
      </c>
      <c r="C13" s="6"/>
      <c r="D13" s="6"/>
      <c r="E13" s="11"/>
      <c r="F13" t="s" s="12">
        <v>9</v>
      </c>
      <c r="G13" s="11"/>
      <c r="H13" t="s" s="12">
        <v>10</v>
      </c>
      <c r="I13" s="13"/>
      <c r="J13" s="6"/>
      <c r="K13" s="6"/>
      <c r="L13" s="6"/>
      <c r="M13" s="6"/>
      <c r="N13" s="6"/>
      <c r="O13" s="6"/>
      <c r="P13" s="6"/>
    </row>
    <row r="14" ht="23.95" customHeight="1">
      <c r="A14" s="6"/>
      <c r="B14" t="s" s="14">
        <v>11</v>
      </c>
      <c r="C14" s="15"/>
      <c r="D14" s="15">
        <v>9250000</v>
      </c>
      <c r="E14" s="16"/>
      <c r="F14" s="16">
        <f>D14/$D$16</f>
        <v>0.934343434343434</v>
      </c>
      <c r="G14" s="13"/>
      <c r="H14" s="16">
        <f>D14/$D$18</f>
        <v>0.925</v>
      </c>
      <c r="I14" s="13"/>
      <c r="J14" s="6"/>
      <c r="K14" s="6"/>
      <c r="L14" s="6"/>
      <c r="M14" s="6"/>
      <c r="N14" s="6"/>
      <c r="O14" s="6"/>
      <c r="P14" s="6"/>
    </row>
    <row r="15" ht="23.95" customHeight="1">
      <c r="A15" s="6"/>
      <c r="B15" t="s" s="14">
        <v>12</v>
      </c>
      <c r="C15" s="15"/>
      <c r="D15" s="15">
        <v>650000</v>
      </c>
      <c r="E15" s="16"/>
      <c r="F15" s="16">
        <f>D15/$D$16</f>
        <v>0.0656565656565657</v>
      </c>
      <c r="G15" s="13"/>
      <c r="H15" s="16">
        <f>D15/$D$18</f>
        <v>0.065</v>
      </c>
      <c r="I15" s="13"/>
      <c r="J15" s="6"/>
      <c r="K15" s="6"/>
      <c r="L15" s="6"/>
      <c r="M15" s="6"/>
      <c r="N15" s="6"/>
      <c r="O15" s="6"/>
      <c r="P15" s="6"/>
    </row>
    <row r="16" ht="23.95" customHeight="1">
      <c r="A16" s="6"/>
      <c r="B16" t="s" s="14">
        <v>13</v>
      </c>
      <c r="C16" s="17"/>
      <c r="D16" s="18">
        <f>SUM(D14:D15)</f>
        <v>9900000</v>
      </c>
      <c r="E16" s="16"/>
      <c r="F16" s="16">
        <f>D16/$D$16</f>
        <v>1</v>
      </c>
      <c r="G16" s="13"/>
      <c r="H16" s="16">
        <f>D16/$D$18</f>
        <v>0.99</v>
      </c>
      <c r="I16" s="13"/>
      <c r="J16" s="6"/>
      <c r="K16" s="6"/>
      <c r="L16" s="6"/>
      <c r="M16" s="6"/>
      <c r="N16" s="6"/>
      <c r="O16" s="6"/>
      <c r="P16" s="6"/>
    </row>
    <row r="17" ht="37.95" customHeight="1">
      <c r="A17" s="6"/>
      <c r="B17" t="s" s="14">
        <v>14</v>
      </c>
      <c r="C17" s="15"/>
      <c r="D17" s="15">
        <v>100000</v>
      </c>
      <c r="E17" s="13"/>
      <c r="F17" s="13"/>
      <c r="G17" s="13"/>
      <c r="H17" s="16">
        <f>D17/$D$18</f>
        <v>0.01</v>
      </c>
      <c r="I17" s="13"/>
      <c r="J17" s="6"/>
      <c r="K17" s="6"/>
      <c r="L17" s="6"/>
      <c r="M17" s="6"/>
      <c r="N17" s="6"/>
      <c r="O17" s="6"/>
      <c r="P17" s="6"/>
    </row>
    <row r="18" ht="23.95" customHeight="1">
      <c r="A18" s="6"/>
      <c r="B18" t="s" s="19">
        <v>15</v>
      </c>
      <c r="C18" s="17"/>
      <c r="D18" s="18">
        <f>D16+D17</f>
        <v>10000000</v>
      </c>
      <c r="E18" s="13"/>
      <c r="F18" s="13"/>
      <c r="G18" s="13"/>
      <c r="H18" s="16">
        <f>D18/$D$18</f>
        <v>1</v>
      </c>
      <c r="I18" s="13"/>
      <c r="J18" s="6"/>
      <c r="K18" s="6"/>
      <c r="L18" s="6"/>
      <c r="M18" s="6"/>
      <c r="N18" s="6"/>
      <c r="O18" s="6"/>
      <c r="P18" s="6"/>
    </row>
    <row r="19" ht="20.05" customHeight="1">
      <c r="A19" s="6"/>
      <c r="B19" s="13"/>
      <c r="C19" s="13"/>
      <c r="D19" s="13"/>
      <c r="E19" s="13"/>
      <c r="F19" s="13"/>
      <c r="G19" s="13"/>
      <c r="H19" s="13"/>
      <c r="I19" s="13"/>
      <c r="J19" s="6"/>
      <c r="K19" s="6"/>
      <c r="L19" s="6"/>
      <c r="M19" s="6"/>
      <c r="N19" s="6"/>
      <c r="O19" s="6"/>
      <c r="P19" s="6"/>
    </row>
    <row r="20" ht="39.95" customHeight="1">
      <c r="A20" s="6"/>
      <c r="B20" t="s" s="19">
        <v>16</v>
      </c>
      <c r="C20" s="11"/>
      <c r="D20" t="s" s="12">
        <v>17</v>
      </c>
      <c r="E20" s="11"/>
      <c r="F20" t="s" s="12">
        <v>18</v>
      </c>
      <c r="G20" s="11"/>
      <c r="H20" t="s" s="12">
        <v>19</v>
      </c>
      <c r="I20" t="s" s="12">
        <v>20</v>
      </c>
      <c r="J20" s="13"/>
      <c r="K20" t="s" s="12">
        <v>21</v>
      </c>
      <c r="L20" s="6"/>
      <c r="M20" s="6"/>
      <c r="N20" s="6"/>
      <c r="O20" s="6"/>
      <c r="P20" s="6"/>
    </row>
    <row r="21" ht="23.95" customHeight="1">
      <c r="A21" s="6"/>
      <c r="B21" t="s" s="14">
        <v>22</v>
      </c>
      <c r="C21" s="20"/>
      <c r="D21" s="20">
        <v>200000</v>
      </c>
      <c r="E21" s="20"/>
      <c r="F21" s="20">
        <v>4000000</v>
      </c>
      <c r="G21" s="13"/>
      <c r="H21" s="21">
        <f>IF(F21&gt;0,D21/F21,0)</f>
        <v>0.05</v>
      </c>
      <c r="I21" t="s" s="22">
        <v>23</v>
      </c>
      <c r="J21" s="13"/>
      <c r="K21" s="23">
        <f>IF(I21="Yes",H21,0)</f>
        <v>0</v>
      </c>
      <c r="L21" s="6"/>
      <c r="M21" s="6"/>
      <c r="N21" s="6"/>
      <c r="O21" s="6"/>
      <c r="P21" s="6"/>
    </row>
    <row r="22" ht="23.95" customHeight="1">
      <c r="A22" s="6"/>
      <c r="B22" t="s" s="14">
        <v>24</v>
      </c>
      <c r="C22" s="20"/>
      <c r="D22" s="20">
        <v>800000</v>
      </c>
      <c r="E22" s="20"/>
      <c r="F22" s="20">
        <v>8000000</v>
      </c>
      <c r="G22" s="13"/>
      <c r="H22" s="24">
        <f>IF(F22&gt;0,D22/F22,0)</f>
        <v>0.1</v>
      </c>
      <c r="I22" t="s" s="22">
        <v>25</v>
      </c>
      <c r="J22" s="13"/>
      <c r="K22" s="25">
        <f>IF(I22="Yes",H22,0)</f>
        <v>0.1</v>
      </c>
      <c r="L22" s="6"/>
      <c r="M22" s="6"/>
      <c r="N22" s="6"/>
      <c r="O22" s="6"/>
      <c r="P22" s="6"/>
    </row>
    <row r="23" ht="23.95" customHeight="1">
      <c r="A23" s="6"/>
      <c r="B23" t="s" s="14">
        <v>26</v>
      </c>
      <c r="C23" s="20"/>
      <c r="D23" s="20"/>
      <c r="E23" s="20"/>
      <c r="F23" s="20"/>
      <c r="G23" s="13"/>
      <c r="H23" s="21">
        <f>IF(F23&gt;0,D23/F23,0)</f>
        <v>0</v>
      </c>
      <c r="I23" t="s" s="22">
        <v>23</v>
      </c>
      <c r="J23" s="13"/>
      <c r="K23" s="23">
        <f>IF(I23="Yes",H23,0)</f>
        <v>0</v>
      </c>
      <c r="L23" s="6"/>
      <c r="M23" s="6"/>
      <c r="N23" s="6"/>
      <c r="O23" s="6"/>
      <c r="P23" s="6"/>
    </row>
    <row r="24" ht="23.95" customHeight="1">
      <c r="A24" s="6"/>
      <c r="B24" t="s" s="14">
        <v>27</v>
      </c>
      <c r="C24" s="20"/>
      <c r="D24" s="20"/>
      <c r="E24" s="20"/>
      <c r="F24" s="20"/>
      <c r="G24" s="13"/>
      <c r="H24" s="21">
        <f>IF(F24&gt;0,D24/F24,0)</f>
        <v>0</v>
      </c>
      <c r="I24" t="s" s="22">
        <v>23</v>
      </c>
      <c r="J24" s="13"/>
      <c r="K24" s="23">
        <f>IF(I24="Yes",H24,0)</f>
        <v>0</v>
      </c>
      <c r="L24" s="6"/>
      <c r="M24" s="6"/>
      <c r="N24" s="6"/>
      <c r="O24" s="6"/>
      <c r="P24" s="6"/>
    </row>
    <row r="25" ht="23.95" customHeight="1">
      <c r="A25" s="6"/>
      <c r="B25" t="s" s="14">
        <v>28</v>
      </c>
      <c r="C25" s="20"/>
      <c r="D25" s="20"/>
      <c r="E25" s="20"/>
      <c r="F25" s="20"/>
      <c r="G25" s="13"/>
      <c r="H25" s="21">
        <f>IF(F25&gt;0,D25/F25,0)</f>
        <v>0</v>
      </c>
      <c r="I25" t="s" s="22">
        <v>23</v>
      </c>
      <c r="J25" s="13"/>
      <c r="K25" s="23">
        <f>IF(I25="Yes",H25,0)</f>
        <v>0</v>
      </c>
      <c r="L25" s="6"/>
      <c r="M25" s="6"/>
      <c r="N25" s="6"/>
      <c r="O25" s="6"/>
      <c r="P25" s="6"/>
    </row>
    <row r="26" ht="23.95" customHeight="1">
      <c r="A26" s="6"/>
      <c r="B26" s="6"/>
      <c r="C26" s="6"/>
      <c r="D26" s="6"/>
      <c r="E26" s="6"/>
      <c r="F26" t="s" s="26">
        <v>29</v>
      </c>
      <c r="G26" s="6"/>
      <c r="H26" s="27">
        <f>SUM(H21:H25)</f>
        <v>0.15</v>
      </c>
      <c r="I26" s="6"/>
      <c r="J26" s="6"/>
      <c r="K26" s="28">
        <f>SUM(K21:K25)</f>
        <v>0.1</v>
      </c>
      <c r="L26" s="6"/>
      <c r="M26" s="6"/>
      <c r="N26" s="6"/>
      <c r="O26" s="6"/>
      <c r="P26" s="6"/>
    </row>
    <row r="27" ht="25.9" customHeight="1">
      <c r="A27" s="6"/>
      <c r="B27" t="s" s="10">
        <v>30</v>
      </c>
      <c r="C27" s="29"/>
      <c r="D27" s="2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ht="23.95" customHeight="1">
      <c r="A28" s="6"/>
      <c r="B28" t="s" s="14">
        <v>31</v>
      </c>
      <c r="C28" s="15"/>
      <c r="D28" s="20">
        <v>15000000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ht="23.95" customHeight="1">
      <c r="A29" s="6"/>
      <c r="B29" t="s" s="14">
        <v>32</v>
      </c>
      <c r="C29" s="15"/>
      <c r="D29" s="20">
        <v>5000000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ht="23.95" customHeight="1">
      <c r="A30" s="6"/>
      <c r="B30" t="s" s="14">
        <v>33</v>
      </c>
      <c r="C30" s="15"/>
      <c r="D30" s="20">
        <v>4000000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ht="37.95" customHeight="1">
      <c r="A31" s="6"/>
      <c r="B31" t="s" s="14">
        <v>34</v>
      </c>
      <c r="C31" s="15"/>
      <c r="D31" s="1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ht="37.95" customHeight="1">
      <c r="A32" s="6"/>
      <c r="B32" t="s" s="14">
        <v>35</v>
      </c>
      <c r="C32" s="30"/>
      <c r="D32" s="30">
        <v>0.1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ht="20.05" customHeight="1">
      <c r="A33" s="6"/>
      <c r="B33" s="13"/>
      <c r="C33" s="13"/>
      <c r="D33" s="13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ht="23.95" customHeight="1">
      <c r="A34" s="6"/>
      <c r="B34" t="s" s="14">
        <v>36</v>
      </c>
      <c r="C34" s="31"/>
      <c r="D34" s="32">
        <f>D29/(D29+D28)</f>
        <v>0.25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ht="20.0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ht="20.0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ht="28.85" customHeight="1">
      <c r="A37" s="6"/>
      <c r="B37" t="s" s="33">
        <v>37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ht="37.95" customHeight="1">
      <c r="A38" s="6"/>
      <c r="B38" t="s" s="34">
        <v>38</v>
      </c>
      <c r="C38" s="35"/>
      <c r="D38" t="s" s="36">
        <v>39</v>
      </c>
      <c r="E38" s="37"/>
      <c r="F38" s="37">
        <f>D28/(I72)</f>
        <v>1.275</v>
      </c>
      <c r="G38" s="6"/>
      <c r="H38" t="s" s="38">
        <v>40</v>
      </c>
      <c r="I38" s="6"/>
      <c r="J38" s="6"/>
      <c r="K38" s="6"/>
      <c r="L38" s="6"/>
      <c r="M38" s="39"/>
      <c r="N38" s="39"/>
      <c r="O38" s="39"/>
      <c r="P38" s="39"/>
    </row>
    <row r="39" ht="23.95" customHeight="1">
      <c r="A39" s="6"/>
      <c r="B39" s="40"/>
      <c r="C39" s="41"/>
      <c r="D39" s="41"/>
      <c r="E39" s="35"/>
      <c r="F39" s="35"/>
      <c r="G39" s="35"/>
      <c r="H39" t="s" s="42">
        <v>41</v>
      </c>
      <c r="I39" t="s" s="42">
        <v>42</v>
      </c>
      <c r="J39" s="6"/>
      <c r="K39" s="43"/>
      <c r="L39" s="6"/>
      <c r="M39" s="6"/>
      <c r="N39" s="6"/>
      <c r="O39" s="6"/>
      <c r="P39" s="6"/>
    </row>
    <row r="40" ht="23.95" customHeight="1">
      <c r="A40" s="6"/>
      <c r="B40" t="s" s="34">
        <v>43</v>
      </c>
      <c r="C40" s="41"/>
      <c r="D40" s="41">
        <v>1.1144</v>
      </c>
      <c r="E40" s="35"/>
      <c r="F40" t="s" s="36">
        <v>44</v>
      </c>
      <c r="G40" s="35"/>
      <c r="H40" s="43">
        <f>D77/D103</f>
        <v>0.250011830625189</v>
      </c>
      <c r="I40" s="43">
        <f>D34</f>
        <v>0.25</v>
      </c>
      <c r="J40" s="6"/>
      <c r="K40" s="6"/>
      <c r="L40" s="6"/>
      <c r="M40" s="6"/>
      <c r="N40" s="6"/>
      <c r="O40" s="6"/>
      <c r="P40" s="6"/>
    </row>
    <row r="41" ht="22.95" customHeight="1">
      <c r="A41" s="6"/>
      <c r="B41" s="40"/>
      <c r="C41" s="44"/>
      <c r="D41" s="44"/>
      <c r="E41" s="35"/>
      <c r="F41" t="s" s="36">
        <v>45</v>
      </c>
      <c r="G41" s="40"/>
      <c r="H41" s="45">
        <f>H101</f>
        <v>0.1</v>
      </c>
      <c r="I41" s="46">
        <f>D32</f>
        <v>0.1</v>
      </c>
      <c r="J41" s="40"/>
      <c r="K41" s="6"/>
      <c r="L41" s="6"/>
      <c r="M41" s="6"/>
      <c r="N41" s="6"/>
      <c r="O41" s="6"/>
      <c r="P41" s="6"/>
    </row>
    <row r="42" ht="24.9" customHeight="1">
      <c r="A42" s="6"/>
      <c r="B42" s="4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ht="22.95" customHeight="1">
      <c r="A43" s="6"/>
      <c r="B43" t="s" s="34">
        <v>46</v>
      </c>
      <c r="C43" s="6"/>
      <c r="D43" s="6"/>
      <c r="E43" s="6"/>
      <c r="F43" s="6"/>
      <c r="G43" s="6"/>
      <c r="H43" s="44">
        <f>D18/(1-SUM(H21:H25))</f>
        <v>11764705.8823529</v>
      </c>
      <c r="I43" s="6"/>
      <c r="J43" s="6"/>
      <c r="K43" s="6"/>
      <c r="L43" s="6"/>
      <c r="M43" s="40"/>
      <c r="N43" s="40"/>
      <c r="O43" s="40"/>
      <c r="P43" s="40"/>
    </row>
    <row r="44" ht="20.0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ht="71.95" customHeight="1">
      <c r="A45" s="6"/>
      <c r="B45" s="6"/>
      <c r="C45" s="48"/>
      <c r="D45" t="s" s="26">
        <v>47</v>
      </c>
      <c r="E45" s="6"/>
      <c r="F45" t="s" s="26">
        <v>48</v>
      </c>
      <c r="G45" s="48"/>
      <c r="H45" t="s" s="26">
        <v>49</v>
      </c>
      <c r="I45" t="s" s="26">
        <v>50</v>
      </c>
      <c r="J45" s="6"/>
      <c r="K45" t="s" s="26">
        <v>51</v>
      </c>
      <c r="L45" t="s" s="26">
        <v>52</v>
      </c>
      <c r="M45" t="s" s="49">
        <v>53</v>
      </c>
      <c r="N45" s="6"/>
      <c r="O45" s="6"/>
      <c r="P45" s="6"/>
    </row>
    <row r="46" ht="23.95" customHeight="1">
      <c r="A46" s="6"/>
      <c r="B46" t="s" s="8">
        <v>22</v>
      </c>
      <c r="C46" s="44"/>
      <c r="D46" s="44">
        <f>$H$43*H21</f>
        <v>588235.294117645</v>
      </c>
      <c r="E46" s="40"/>
      <c r="F46" s="50">
        <f>IF(D46&gt;0,D21/D46,0)</f>
        <v>0.340000000000001</v>
      </c>
      <c r="G46" s="44"/>
      <c r="H46" s="51">
        <f t="shared" si="31" ref="H46:H50">$D$40</f>
        <v>1.1144</v>
      </c>
      <c r="I46" s="44">
        <f>D21/H46</f>
        <v>179468.772433597</v>
      </c>
      <c r="J46" s="6"/>
      <c r="K46" s="44">
        <f>IF(I46&gt;D46,I46,0)</f>
        <v>0</v>
      </c>
      <c r="L46" s="52">
        <f>IF(D46&gt;I46,H21,0)</f>
        <v>0.05</v>
      </c>
      <c r="M46" s="53">
        <f>D21</f>
        <v>200000</v>
      </c>
      <c r="N46" s="6"/>
      <c r="O46" s="6"/>
      <c r="P46" s="6"/>
    </row>
    <row r="47" ht="23.95" customHeight="1">
      <c r="A47" s="6"/>
      <c r="B47" t="s" s="8">
        <v>24</v>
      </c>
      <c r="C47" s="44"/>
      <c r="D47" s="44">
        <f>$H$43*H22</f>
        <v>1176470.58823529</v>
      </c>
      <c r="E47" s="40"/>
      <c r="F47" s="50">
        <f>IF(D47&gt;0,D22/D47,0)</f>
        <v>0.680000000000002</v>
      </c>
      <c r="G47" s="6"/>
      <c r="H47" s="51">
        <f t="shared" si="31"/>
        <v>1.1144</v>
      </c>
      <c r="I47" s="44">
        <f>D22/H47</f>
        <v>717875.089734386</v>
      </c>
      <c r="J47" s="6"/>
      <c r="K47" s="44">
        <f>IF(I47&gt;D47,I47,0)</f>
        <v>0</v>
      </c>
      <c r="L47" s="54">
        <f>IF(D47&gt;I47,H22,0)</f>
        <v>0.1</v>
      </c>
      <c r="M47" s="53">
        <f>D22</f>
        <v>800000</v>
      </c>
      <c r="N47" s="6"/>
      <c r="O47" s="6"/>
      <c r="P47" s="6"/>
    </row>
    <row r="48" ht="23.95" customHeight="1">
      <c r="A48" s="6"/>
      <c r="B48" t="s" s="8">
        <v>26</v>
      </c>
      <c r="C48" s="44"/>
      <c r="D48" s="44">
        <f>$H$43*H23</f>
        <v>0</v>
      </c>
      <c r="E48" s="40"/>
      <c r="F48" s="55">
        <f>IF(D48&gt;0,D23/D48,0)</f>
        <v>0</v>
      </c>
      <c r="G48" s="6"/>
      <c r="H48" s="51">
        <f t="shared" si="31"/>
        <v>1.1144</v>
      </c>
      <c r="I48" s="44">
        <f>D23/H48</f>
        <v>0</v>
      </c>
      <c r="J48" s="6"/>
      <c r="K48" s="44">
        <f>IF(I48&gt;D48,I48,0)</f>
        <v>0</v>
      </c>
      <c r="L48" s="55">
        <f>IF(D48&gt;I48,H23,0)</f>
        <v>0</v>
      </c>
      <c r="M48" s="53">
        <f>D23</f>
        <v>0</v>
      </c>
      <c r="N48" s="6"/>
      <c r="O48" s="6"/>
      <c r="P48" s="6"/>
    </row>
    <row r="49" ht="23.95" customHeight="1">
      <c r="A49" s="6"/>
      <c r="B49" t="s" s="8">
        <v>27</v>
      </c>
      <c r="C49" s="44"/>
      <c r="D49" s="44">
        <f>$H$43*H24</f>
        <v>0</v>
      </c>
      <c r="E49" s="40"/>
      <c r="F49" s="55">
        <f>IF(D49&gt;0,D24/D49,0)</f>
        <v>0</v>
      </c>
      <c r="G49" s="6"/>
      <c r="H49" s="51">
        <f t="shared" si="31"/>
        <v>1.1144</v>
      </c>
      <c r="I49" s="44">
        <f>D24/H49</f>
        <v>0</v>
      </c>
      <c r="J49" s="6"/>
      <c r="K49" s="44">
        <f>IF(I49&gt;D49,I49,0)</f>
        <v>0</v>
      </c>
      <c r="L49" s="55">
        <f>IF(D49&gt;I49,H24,0)</f>
        <v>0</v>
      </c>
      <c r="M49" s="53">
        <f>D24</f>
        <v>0</v>
      </c>
      <c r="N49" s="6"/>
      <c r="O49" s="6"/>
      <c r="P49" s="6"/>
    </row>
    <row r="50" ht="23.95" customHeight="1">
      <c r="A50" s="6"/>
      <c r="B50" t="s" s="8">
        <v>28</v>
      </c>
      <c r="C50" s="44"/>
      <c r="D50" s="44">
        <f>$H$43*H25</f>
        <v>0</v>
      </c>
      <c r="E50" s="40"/>
      <c r="F50" s="55">
        <f>IF(D50&gt;0,D25/D50,0)</f>
        <v>0</v>
      </c>
      <c r="G50" s="6"/>
      <c r="H50" s="51">
        <f t="shared" si="31"/>
        <v>1.1144</v>
      </c>
      <c r="I50" s="44">
        <f>D25/H50</f>
        <v>0</v>
      </c>
      <c r="J50" s="6"/>
      <c r="K50" s="44">
        <f>IF(I50&gt;D50,I50,0)</f>
        <v>0</v>
      </c>
      <c r="L50" s="55">
        <f>IF(D50&gt;I50,H25,0)</f>
        <v>0</v>
      </c>
      <c r="M50" s="53">
        <f>D25</f>
        <v>0</v>
      </c>
      <c r="N50" s="6"/>
      <c r="O50" s="6"/>
      <c r="P50" s="6"/>
    </row>
    <row r="51" ht="22.9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44">
        <f>SUM(K46:K50)</f>
        <v>0</v>
      </c>
      <c r="L51" s="52">
        <f>SUM(L46:L50)</f>
        <v>0.15</v>
      </c>
      <c r="M51" s="6"/>
      <c r="N51" s="6"/>
      <c r="O51" s="6"/>
      <c r="P51" s="6"/>
    </row>
    <row r="52" ht="22.95" customHeight="1">
      <c r="A52" s="6"/>
      <c r="B52" t="s" s="34">
        <v>54</v>
      </c>
      <c r="C52" s="6"/>
      <c r="D52" s="6"/>
      <c r="E52" s="6"/>
      <c r="F52" s="44">
        <f>(D18+K51)/(1-L51)</f>
        <v>11764705.8823529</v>
      </c>
      <c r="G52" s="6"/>
      <c r="H52" s="6"/>
      <c r="I52" s="6"/>
      <c r="J52" s="6"/>
      <c r="K52" s="6"/>
      <c r="L52" s="6"/>
      <c r="M52" s="6"/>
      <c r="N52" s="6"/>
      <c r="O52" s="6"/>
      <c r="P52" s="6"/>
    </row>
    <row r="53" ht="23.95" customHeight="1">
      <c r="A53" s="6"/>
      <c r="B53" s="9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ht="23.95" customHeight="1">
      <c r="A54" s="6"/>
      <c r="B54" s="9"/>
      <c r="C54" s="6"/>
      <c r="D54" t="s" s="26">
        <v>55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ht="23.95" customHeight="1">
      <c r="A55" s="6"/>
      <c r="B55" t="s" s="8">
        <v>22</v>
      </c>
      <c r="C55" s="6"/>
      <c r="D55" s="44">
        <f>IF(L46&gt;0,L46*$F$52,I46)</f>
        <v>588235.294117645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ht="23.95" customHeight="1">
      <c r="A56" s="6"/>
      <c r="B56" t="s" s="8">
        <v>24</v>
      </c>
      <c r="C56" s="6"/>
      <c r="D56" s="44">
        <f>IF(L47&gt;0,L47*$F$52,I47)</f>
        <v>1176470.58823529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ht="23.95" customHeight="1">
      <c r="A57" s="6"/>
      <c r="B57" t="s" s="8">
        <v>26</v>
      </c>
      <c r="C57" s="6"/>
      <c r="D57" s="44">
        <f>IF(L48&gt;0,L48*$F$52,I48)</f>
        <v>0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ht="23.95" customHeight="1">
      <c r="A58" s="6"/>
      <c r="B58" t="s" s="8">
        <v>27</v>
      </c>
      <c r="C58" s="6"/>
      <c r="D58" s="44">
        <f>IF(L49&gt;0,L49*$F$52,I49)</f>
        <v>0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ht="23.95" customHeight="1">
      <c r="A59" s="6"/>
      <c r="B59" t="s" s="8">
        <v>28</v>
      </c>
      <c r="C59" s="6"/>
      <c r="D59" s="44">
        <f>IF(L50&gt;0,L50*$F$52,I50)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ht="20.0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ht="20.0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ht="20.05" customHeight="1">
      <c r="A62" s="6"/>
      <c r="B62" s="6"/>
      <c r="C62" s="6"/>
      <c r="D62" s="6"/>
      <c r="E62" s="6"/>
      <c r="F62" s="6"/>
      <c r="G62" s="6"/>
      <c r="H62" s="56">
        <f>SUM(K46:K50)</f>
        <v>0</v>
      </c>
      <c r="I62" s="6"/>
      <c r="J62" s="6"/>
      <c r="K62" s="6"/>
      <c r="L62" s="6"/>
      <c r="M62" s="6"/>
      <c r="N62" s="6"/>
      <c r="O62" s="6"/>
      <c r="P62" s="6"/>
    </row>
    <row r="63" ht="39.95" customHeight="1">
      <c r="A63" s="6"/>
      <c r="B63" s="13"/>
      <c r="C63" s="6"/>
      <c r="D63" t="s" s="12">
        <v>56</v>
      </c>
      <c r="E63" s="11"/>
      <c r="F63" t="s" s="12">
        <v>57</v>
      </c>
      <c r="G63" s="11"/>
      <c r="H63" t="s" s="12">
        <v>58</v>
      </c>
      <c r="I63" t="s" s="12">
        <v>29</v>
      </c>
      <c r="J63" s="13"/>
      <c r="K63" s="13"/>
      <c r="L63" s="6"/>
      <c r="M63" s="6"/>
      <c r="N63" s="6"/>
      <c r="O63" s="6"/>
      <c r="P63" s="6"/>
    </row>
    <row r="64" ht="23.95" customHeight="1">
      <c r="A64" s="6"/>
      <c r="B64" t="s" s="19">
        <v>11</v>
      </c>
      <c r="C64" s="6"/>
      <c r="D64" s="57">
        <f>D14</f>
        <v>9250000</v>
      </c>
      <c r="E64" s="29"/>
      <c r="F64" s="29"/>
      <c r="G64" s="29"/>
      <c r="H64" s="29"/>
      <c r="I64" s="57">
        <f>D64</f>
        <v>9250000</v>
      </c>
      <c r="J64" s="13"/>
      <c r="K64" s="16">
        <f>I64/$I$72</f>
        <v>0.786250000000003</v>
      </c>
      <c r="L64" s="6"/>
      <c r="M64" s="6"/>
      <c r="N64" s="6"/>
      <c r="O64" s="6"/>
      <c r="P64" s="6"/>
    </row>
    <row r="65" ht="23.95" customHeight="1">
      <c r="A65" s="6"/>
      <c r="B65" t="s" s="19">
        <v>22</v>
      </c>
      <c r="C65" s="6"/>
      <c r="D65" s="13"/>
      <c r="E65" s="29"/>
      <c r="F65" s="58">
        <f>D55</f>
        <v>588235.294117645</v>
      </c>
      <c r="G65" s="29"/>
      <c r="H65" s="29"/>
      <c r="I65" s="58">
        <f>F65</f>
        <v>588235.294117645</v>
      </c>
      <c r="J65" s="13"/>
      <c r="K65" s="16">
        <f>I65/$I$72</f>
        <v>0.05</v>
      </c>
      <c r="L65" s="6"/>
      <c r="M65" s="6"/>
      <c r="N65" s="6"/>
      <c r="O65" s="6"/>
      <c r="P65" s="6"/>
    </row>
    <row r="66" ht="23.95" customHeight="1">
      <c r="A66" s="6"/>
      <c r="B66" t="s" s="19">
        <v>24</v>
      </c>
      <c r="C66" s="6"/>
      <c r="D66" s="13"/>
      <c r="E66" s="29"/>
      <c r="F66" s="58">
        <f>D56</f>
        <v>1176470.58823529</v>
      </c>
      <c r="G66" s="29"/>
      <c r="H66" s="29"/>
      <c r="I66" s="58">
        <f>F66</f>
        <v>1176470.58823529</v>
      </c>
      <c r="J66" s="13"/>
      <c r="K66" s="59">
        <f>I66/$I$72</f>
        <v>0.1</v>
      </c>
      <c r="L66" s="6"/>
      <c r="M66" s="6"/>
      <c r="N66" s="6"/>
      <c r="O66" s="6"/>
      <c r="P66" s="6"/>
    </row>
    <row r="67" ht="23.95" customHeight="1">
      <c r="A67" s="6"/>
      <c r="B67" t="s" s="19">
        <v>26</v>
      </c>
      <c r="C67" s="6"/>
      <c r="D67" s="13"/>
      <c r="E67" s="29"/>
      <c r="F67" s="58">
        <f>D57</f>
        <v>0</v>
      </c>
      <c r="G67" s="29"/>
      <c r="H67" s="29"/>
      <c r="I67" s="29"/>
      <c r="J67" s="13"/>
      <c r="K67" s="13"/>
      <c r="L67" s="6"/>
      <c r="M67" s="6"/>
      <c r="N67" s="6"/>
      <c r="O67" s="6"/>
      <c r="P67" s="6"/>
    </row>
    <row r="68" ht="23.95" customHeight="1">
      <c r="A68" s="6"/>
      <c r="B68" t="s" s="19">
        <v>27</v>
      </c>
      <c r="C68" s="6"/>
      <c r="D68" s="13"/>
      <c r="E68" s="29"/>
      <c r="F68" s="58">
        <f>D58</f>
        <v>0</v>
      </c>
      <c r="G68" s="29"/>
      <c r="H68" s="29"/>
      <c r="I68" s="29"/>
      <c r="J68" s="13"/>
      <c r="K68" s="13"/>
      <c r="L68" s="6"/>
      <c r="M68" s="6"/>
      <c r="N68" s="6"/>
      <c r="O68" s="6"/>
      <c r="P68" s="6"/>
    </row>
    <row r="69" ht="23.95" customHeight="1">
      <c r="A69" s="6"/>
      <c r="B69" t="s" s="19">
        <v>28</v>
      </c>
      <c r="C69" s="6"/>
      <c r="D69" s="13"/>
      <c r="E69" s="29"/>
      <c r="F69" s="58">
        <f>D59</f>
        <v>0</v>
      </c>
      <c r="G69" s="29"/>
      <c r="H69" s="29"/>
      <c r="I69" s="29"/>
      <c r="J69" s="13"/>
      <c r="K69" s="13"/>
      <c r="L69" s="6"/>
      <c r="M69" s="6"/>
      <c r="N69" s="6"/>
      <c r="O69" s="6"/>
      <c r="P69" s="6"/>
    </row>
    <row r="70" ht="39.95" customHeight="1">
      <c r="A70" s="6"/>
      <c r="B70" t="s" s="19">
        <v>59</v>
      </c>
      <c r="C70" s="6"/>
      <c r="D70" s="13"/>
      <c r="E70" s="29"/>
      <c r="F70" s="29"/>
      <c r="G70" s="29"/>
      <c r="H70" s="57">
        <f>D15</f>
        <v>650000</v>
      </c>
      <c r="I70" s="57">
        <f>H70</f>
        <v>650000</v>
      </c>
      <c r="J70" s="13"/>
      <c r="K70" s="16">
        <f>I70/$I$72</f>
        <v>0.0552500000000002</v>
      </c>
      <c r="L70" s="6"/>
      <c r="M70" s="6"/>
      <c r="N70" s="6"/>
      <c r="O70" s="6"/>
      <c r="P70" s="6"/>
    </row>
    <row r="71" ht="23.95" customHeight="1">
      <c r="A71" s="6"/>
      <c r="B71" t="s" s="19">
        <v>60</v>
      </c>
      <c r="C71" s="6"/>
      <c r="D71" s="13"/>
      <c r="E71" s="29"/>
      <c r="F71" s="29"/>
      <c r="G71" s="29"/>
      <c r="H71" s="57">
        <f>D17</f>
        <v>100000</v>
      </c>
      <c r="I71" s="57">
        <f>H71</f>
        <v>100000</v>
      </c>
      <c r="J71" s="13"/>
      <c r="K71" s="16">
        <f>I71/$I$72</f>
        <v>0.00850000000000003</v>
      </c>
      <c r="L71" s="6"/>
      <c r="M71" s="6"/>
      <c r="N71" s="6"/>
      <c r="O71" s="6"/>
      <c r="P71" s="6"/>
    </row>
    <row r="72" ht="23.95" customHeight="1">
      <c r="A72" s="6"/>
      <c r="B72" t="s" s="19">
        <v>29</v>
      </c>
      <c r="C72" s="6"/>
      <c r="D72" s="60">
        <f>SUM((D64:D71))</f>
        <v>9250000</v>
      </c>
      <c r="E72" s="60"/>
      <c r="F72" s="60">
        <f>SUM((F64:F71))</f>
        <v>1764705.88235294</v>
      </c>
      <c r="G72" s="17"/>
      <c r="H72" s="60">
        <f>SUM((H64:H71))</f>
        <v>750000</v>
      </c>
      <c r="I72" s="60">
        <f>SUM((I64:I71))</f>
        <v>11764705.8823529</v>
      </c>
      <c r="J72" s="13"/>
      <c r="K72" s="16">
        <f>I72/$I$72</f>
        <v>1</v>
      </c>
      <c r="L72" s="6"/>
      <c r="M72" s="6"/>
      <c r="N72" s="6"/>
      <c r="O72" s="6"/>
      <c r="P72" s="6"/>
    </row>
    <row r="73" ht="20.0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ht="20.0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ht="22.95" customHeight="1">
      <c r="A75" s="6"/>
      <c r="B75" s="40"/>
      <c r="C75" s="40"/>
      <c r="D75" s="44"/>
      <c r="E75" s="44"/>
      <c r="F75" s="44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ht="22.95" customHeight="1">
      <c r="A76" s="6"/>
      <c r="B76" s="40"/>
      <c r="C76" s="44"/>
      <c r="D76" s="44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ht="22.95" customHeight="1">
      <c r="A77" s="6"/>
      <c r="B77" t="s" s="34">
        <v>61</v>
      </c>
      <c r="C77" s="44"/>
      <c r="D77" s="44">
        <f>D29/D40</f>
        <v>4486719.31083991</v>
      </c>
      <c r="E77" s="6"/>
      <c r="F77" t="s" s="38">
        <v>62</v>
      </c>
      <c r="G77" s="6"/>
      <c r="H77" s="6"/>
      <c r="I77" s="6"/>
      <c r="J77" s="6"/>
      <c r="K77" s="6"/>
      <c r="L77" s="6"/>
      <c r="M77" s="39"/>
      <c r="N77" s="39"/>
      <c r="O77" s="39"/>
      <c r="P77" s="39"/>
    </row>
    <row r="78" ht="22.95" customHeight="1">
      <c r="A78" s="6"/>
      <c r="B78" t="s" s="34">
        <v>63</v>
      </c>
      <c r="C78" s="44"/>
      <c r="D78" s="44">
        <f>IF(I21="Yes",$D$77*H21,0)</f>
        <v>0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ht="22.95" customHeight="1">
      <c r="A79" s="6"/>
      <c r="B79" t="s" s="34">
        <v>64</v>
      </c>
      <c r="C79" s="44"/>
      <c r="D79" s="44">
        <f>IF(I22="Yes",$D$77*K66,0)</f>
        <v>448671.931083991</v>
      </c>
      <c r="E79" s="61"/>
      <c r="F79" t="s" s="62">
        <v>65</v>
      </c>
      <c r="G79" s="6"/>
      <c r="H79" s="6"/>
      <c r="I79" s="6"/>
      <c r="J79" s="6"/>
      <c r="K79" s="6"/>
      <c r="L79" s="6"/>
      <c r="M79" s="63"/>
      <c r="N79" s="63"/>
      <c r="O79" s="63"/>
      <c r="P79" s="63"/>
    </row>
    <row r="80" ht="22.95" customHeight="1">
      <c r="A80" s="6"/>
      <c r="B80" t="s" s="34">
        <v>66</v>
      </c>
      <c r="C80" s="44"/>
      <c r="D80" s="44">
        <f>IF(I23="Yes",$D$77*H23,0)</f>
        <v>0</v>
      </c>
      <c r="E80" s="61"/>
      <c r="F80" s="61"/>
      <c r="G80" s="6"/>
      <c r="H80" s="6"/>
      <c r="I80" s="6"/>
      <c r="J80" s="6"/>
      <c r="K80" s="64"/>
      <c r="L80" s="6"/>
      <c r="M80" s="6"/>
      <c r="N80" s="6"/>
      <c r="O80" s="6"/>
      <c r="P80" s="6"/>
    </row>
    <row r="81" ht="22.95" customHeight="1">
      <c r="A81" s="6"/>
      <c r="B81" t="s" s="34">
        <v>67</v>
      </c>
      <c r="C81" s="44"/>
      <c r="D81" s="44">
        <f>IF(I24="Yes",$D$77*H24,0)</f>
        <v>0</v>
      </c>
      <c r="E81" s="61"/>
      <c r="F81" s="61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ht="22.95" customHeight="1">
      <c r="A82" s="6"/>
      <c r="B82" t="s" s="34">
        <v>68</v>
      </c>
      <c r="C82" s="44"/>
      <c r="D82" s="44">
        <f>IF(I25="Yes",$D$77*H25,0)</f>
        <v>0</v>
      </c>
      <c r="E82" s="61"/>
      <c r="F82" s="61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ht="37.95" customHeight="1">
      <c r="A83" s="6"/>
      <c r="B83" t="s" s="34">
        <v>69</v>
      </c>
      <c r="C83" s="40"/>
      <c r="D83" s="44">
        <f>D77-SUM(D78:D82)</f>
        <v>4038047.37975592</v>
      </c>
      <c r="E83" s="44"/>
      <c r="F83" s="44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ht="52.95" customHeight="1">
      <c r="A84" s="6"/>
      <c r="B84" t="s" s="34">
        <v>70</v>
      </c>
      <c r="C84" s="40"/>
      <c r="D84" s="44">
        <f>D99</f>
        <v>16151425.1931928</v>
      </c>
      <c r="E84" s="44"/>
      <c r="F84" s="44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ht="37.95" customHeight="1">
      <c r="A85" s="6"/>
      <c r="B85" t="s" s="34">
        <v>71</v>
      </c>
      <c r="C85" s="44"/>
      <c r="D85" s="65">
        <f>D99/(1-D32)-D99-D17</f>
        <v>1694602.79924364</v>
      </c>
      <c r="E85" s="6"/>
      <c r="F85" t="s" s="34">
        <v>72</v>
      </c>
      <c r="G85" s="6"/>
      <c r="H85" s="6"/>
      <c r="I85" s="6"/>
      <c r="J85" s="6"/>
      <c r="K85" s="6"/>
      <c r="L85" s="6"/>
      <c r="M85" s="40"/>
      <c r="N85" s="40"/>
      <c r="O85" s="40"/>
      <c r="P85" s="40"/>
    </row>
    <row r="86" ht="52.95" customHeight="1">
      <c r="A86" s="6"/>
      <c r="B86" t="s" s="34">
        <v>73</v>
      </c>
      <c r="C86" s="44"/>
      <c r="D86" s="65">
        <f>D17</f>
        <v>100000</v>
      </c>
      <c r="E86" s="6"/>
      <c r="F86" t="s" s="36">
        <v>74</v>
      </c>
      <c r="G86" s="40"/>
      <c r="H86" s="66">
        <f>D85+D86</f>
        <v>1794602.79924364</v>
      </c>
      <c r="I86" s="6"/>
      <c r="J86" s="6"/>
      <c r="K86" s="6"/>
      <c r="L86" s="6"/>
      <c r="M86" s="6"/>
      <c r="N86" s="6"/>
      <c r="O86" s="6"/>
      <c r="P86" s="6"/>
    </row>
    <row r="87" ht="22.95" customHeight="1">
      <c r="A87" s="6"/>
      <c r="B87" t="s" s="34">
        <v>75</v>
      </c>
      <c r="C87" s="44"/>
      <c r="D87" s="65">
        <f>D84+D85+D17</f>
        <v>17946027.9924364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ht="22.95" customHeight="1">
      <c r="A88" s="6"/>
      <c r="B88" s="40"/>
      <c r="C88" s="44"/>
      <c r="D88" s="44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ht="39.95" customHeight="1">
      <c r="A89" s="6"/>
      <c r="B89" s="13"/>
      <c r="C89" s="67"/>
      <c r="D89" t="s" s="12">
        <v>76</v>
      </c>
      <c r="E89" s="11"/>
      <c r="F89" t="s" s="12">
        <v>9</v>
      </c>
      <c r="G89" s="11"/>
      <c r="H89" t="s" s="12">
        <v>77</v>
      </c>
      <c r="I89" s="6"/>
      <c r="J89" s="6"/>
      <c r="K89" s="6"/>
      <c r="L89" s="6"/>
      <c r="M89" s="6"/>
      <c r="N89" s="6"/>
      <c r="O89" s="6"/>
      <c r="P89" s="6"/>
    </row>
    <row r="90" ht="22.95" customHeight="1">
      <c r="A90" s="6"/>
      <c r="B90" t="s" s="14">
        <v>11</v>
      </c>
      <c r="C90" s="29"/>
      <c r="D90" s="57">
        <f>D14</f>
        <v>9250000</v>
      </c>
      <c r="E90" s="13"/>
      <c r="F90" s="16">
        <f>D90/$D$99</f>
        <v>0.572704878322349</v>
      </c>
      <c r="G90" s="29"/>
      <c r="H90" s="16">
        <f>D90/$D$103</f>
        <v>0.515434390490115</v>
      </c>
      <c r="I90" s="6"/>
      <c r="J90" s="6"/>
      <c r="K90" s="6"/>
      <c r="L90" s="6"/>
      <c r="M90" s="6"/>
      <c r="N90" s="6"/>
      <c r="O90" s="6"/>
      <c r="P90" s="6"/>
    </row>
    <row r="91" ht="22.95" customHeight="1">
      <c r="A91" s="6"/>
      <c r="B91" t="s" s="14">
        <v>22</v>
      </c>
      <c r="C91" s="13"/>
      <c r="D91" s="58">
        <f>F65+D78</f>
        <v>588235.294117645</v>
      </c>
      <c r="E91" s="29"/>
      <c r="F91" s="16">
        <f>D91/$D$99</f>
        <v>0.0364200240586548</v>
      </c>
      <c r="G91" s="29"/>
      <c r="H91" s="16">
        <f>D91/$D$103</f>
        <v>0.0327780216527894</v>
      </c>
      <c r="I91" s="6"/>
      <c r="J91" s="6"/>
      <c r="K91" s="6"/>
      <c r="L91" s="6"/>
      <c r="M91" s="6"/>
      <c r="N91" s="6"/>
      <c r="O91" s="6"/>
      <c r="P91" s="6"/>
    </row>
    <row r="92" ht="22.95" customHeight="1">
      <c r="A92" s="6"/>
      <c r="B92" t="s" s="14">
        <v>24</v>
      </c>
      <c r="C92" s="13"/>
      <c r="D92" s="58">
        <f>F66+D79</f>
        <v>1625142.51931928</v>
      </c>
      <c r="E92" s="29"/>
      <c r="F92" s="16">
        <f>D92/$D$99</f>
        <v>0.100619140408997</v>
      </c>
      <c r="G92" s="29"/>
      <c r="H92" s="16">
        <f>D92/$D$103</f>
        <v>0.0905572263680976</v>
      </c>
      <c r="I92" s="6"/>
      <c r="J92" s="6"/>
      <c r="K92" s="6"/>
      <c r="L92" s="6"/>
      <c r="M92" s="6"/>
      <c r="N92" s="6"/>
      <c r="O92" s="6"/>
      <c r="P92" s="6"/>
    </row>
    <row r="93" ht="22.95" customHeight="1">
      <c r="A93" s="6"/>
      <c r="B93" t="s" s="14">
        <v>26</v>
      </c>
      <c r="C93" s="13"/>
      <c r="D93" s="58">
        <f>F67+D80</f>
        <v>0</v>
      </c>
      <c r="E93" s="29"/>
      <c r="F93" s="16">
        <f>D93/$D$99</f>
        <v>0</v>
      </c>
      <c r="G93" s="29"/>
      <c r="H93" s="16">
        <f>D93/$D$103</f>
        <v>0</v>
      </c>
      <c r="I93" s="6"/>
      <c r="J93" s="6"/>
      <c r="K93" s="6"/>
      <c r="L93" s="6"/>
      <c r="M93" s="6"/>
      <c r="N93" s="6"/>
      <c r="O93" s="6"/>
      <c r="P93" s="6"/>
    </row>
    <row r="94" ht="22.95" customHeight="1">
      <c r="A94" s="6"/>
      <c r="B94" t="s" s="14">
        <v>27</v>
      </c>
      <c r="C94" s="13"/>
      <c r="D94" s="58">
        <f>F68+D81</f>
        <v>0</v>
      </c>
      <c r="E94" s="29"/>
      <c r="F94" s="16">
        <f>D94/$D$99</f>
        <v>0</v>
      </c>
      <c r="G94" s="29"/>
      <c r="H94" s="16">
        <f>D94/$D$103</f>
        <v>0</v>
      </c>
      <c r="I94" s="6"/>
      <c r="J94" s="6"/>
      <c r="K94" s="6"/>
      <c r="L94" s="6"/>
      <c r="M94" s="6"/>
      <c r="N94" s="6"/>
      <c r="O94" s="6"/>
      <c r="P94" s="6"/>
    </row>
    <row r="95" ht="22.95" customHeight="1">
      <c r="A95" s="6"/>
      <c r="B95" t="s" s="14">
        <v>28</v>
      </c>
      <c r="C95" s="13"/>
      <c r="D95" s="58">
        <f>F69+D82</f>
        <v>0</v>
      </c>
      <c r="E95" s="29"/>
      <c r="F95" s="16">
        <f>D95/$D$99</f>
        <v>0</v>
      </c>
      <c r="G95" s="29"/>
      <c r="H95" s="16">
        <f>D95/$D$103</f>
        <v>0</v>
      </c>
      <c r="I95" s="6"/>
      <c r="J95" s="6"/>
      <c r="K95" s="6"/>
      <c r="L95" s="6"/>
      <c r="M95" s="6"/>
      <c r="N95" s="6"/>
      <c r="O95" s="6"/>
      <c r="P95" s="6"/>
    </row>
    <row r="96" ht="22.95" customHeight="1">
      <c r="A96" s="6"/>
      <c r="B96" t="s" s="14">
        <v>78</v>
      </c>
      <c r="C96" s="13"/>
      <c r="D96" s="58">
        <f>D30/D40</f>
        <v>3589375.44867193</v>
      </c>
      <c r="E96" s="58"/>
      <c r="F96" s="16">
        <f>D96/$D$99</f>
        <v>0.222232738333501</v>
      </c>
      <c r="G96" s="29"/>
      <c r="H96" s="16">
        <f>D96/$D$103</f>
        <v>0.200009464500151</v>
      </c>
      <c r="I96" s="6"/>
      <c r="J96" s="6"/>
      <c r="K96" s="6"/>
      <c r="L96" s="6"/>
      <c r="M96" s="6"/>
      <c r="N96" s="6"/>
      <c r="O96" s="6"/>
      <c r="P96" s="6"/>
    </row>
    <row r="97" ht="37.95" customHeight="1">
      <c r="A97" s="6"/>
      <c r="B97" t="s" s="14">
        <v>79</v>
      </c>
      <c r="C97" s="13"/>
      <c r="D97" s="58">
        <f>D83-D96</f>
        <v>448671.93108399</v>
      </c>
      <c r="E97" s="58"/>
      <c r="F97" s="16">
        <f>D97/$D$99</f>
        <v>0.0277790922916875</v>
      </c>
      <c r="G97" s="29"/>
      <c r="H97" s="16">
        <f>D97/$D$103</f>
        <v>0.0250011830625188</v>
      </c>
      <c r="I97" s="6"/>
      <c r="J97" s="6"/>
      <c r="K97" s="6"/>
      <c r="L97" s="6"/>
      <c r="M97" s="6"/>
      <c r="N97" s="6"/>
      <c r="O97" s="6"/>
      <c r="P97" s="6"/>
    </row>
    <row r="98" ht="22.95" customHeight="1">
      <c r="A98" s="6"/>
      <c r="B98" t="s" s="14">
        <v>80</v>
      </c>
      <c r="C98" s="13"/>
      <c r="D98" s="57">
        <f>D15</f>
        <v>650000</v>
      </c>
      <c r="E98" s="13"/>
      <c r="F98" s="16">
        <f>D98/$D$99</f>
        <v>0.0402441265848137</v>
      </c>
      <c r="G98" s="29"/>
      <c r="H98" s="16">
        <f>D98/$D$103</f>
        <v>0.0362197139263324</v>
      </c>
      <c r="I98" s="6"/>
      <c r="J98" s="6"/>
      <c r="K98" s="6"/>
      <c r="L98" s="6"/>
      <c r="M98" s="6"/>
      <c r="N98" s="6"/>
      <c r="O98" s="6"/>
      <c r="P98" s="6"/>
    </row>
    <row r="99" ht="23.95" customHeight="1">
      <c r="A99" s="6"/>
      <c r="B99" t="s" s="19">
        <v>81</v>
      </c>
      <c r="C99" s="60"/>
      <c r="D99" s="60">
        <f>SUM(D90:D98)</f>
        <v>16151425.1931928</v>
      </c>
      <c r="E99" s="60"/>
      <c r="F99" s="32">
        <f>D99/$D$99</f>
        <v>1</v>
      </c>
      <c r="G99" s="29"/>
      <c r="H99" s="16">
        <f>D99/$D$103</f>
        <v>0.900000000000002</v>
      </c>
      <c r="I99" s="6"/>
      <c r="J99" s="6"/>
      <c r="K99" s="6"/>
      <c r="L99" s="6"/>
      <c r="M99" s="6"/>
      <c r="N99" s="6"/>
      <c r="O99" s="6"/>
      <c r="P99" s="6"/>
    </row>
    <row r="100" ht="22.95" customHeight="1">
      <c r="A100" s="6"/>
      <c r="B100" s="29"/>
      <c r="C100" s="13"/>
      <c r="D100" s="13"/>
      <c r="E100" s="13"/>
      <c r="F100" s="29"/>
      <c r="G100" s="29"/>
      <c r="H100" s="29"/>
      <c r="I100" s="6"/>
      <c r="J100" s="6"/>
      <c r="K100" s="6"/>
      <c r="L100" s="6"/>
      <c r="M100" s="6"/>
      <c r="N100" s="6"/>
      <c r="O100" s="6"/>
      <c r="P100" s="6"/>
    </row>
    <row r="101" ht="22.95" customHeight="1">
      <c r="A101" s="6"/>
      <c r="B101" t="s" s="14">
        <v>60</v>
      </c>
      <c r="C101" s="13"/>
      <c r="D101" s="58">
        <f>D85+D17</f>
        <v>1794602.79924364</v>
      </c>
      <c r="E101" s="13"/>
      <c r="F101" s="29"/>
      <c r="G101" s="29"/>
      <c r="H101" s="16">
        <f>D101/$D$103</f>
        <v>0.1</v>
      </c>
      <c r="I101" s="6"/>
      <c r="J101" s="6"/>
      <c r="K101" s="6"/>
      <c r="L101" s="6"/>
      <c r="M101" s="6"/>
      <c r="N101" s="6"/>
      <c r="O101" s="6"/>
      <c r="P101" s="6"/>
    </row>
    <row r="102" ht="22.95" customHeight="1">
      <c r="A102" s="6"/>
      <c r="B102" s="29"/>
      <c r="C102" s="13"/>
      <c r="D102" s="13"/>
      <c r="E102" s="13"/>
      <c r="F102" s="13"/>
      <c r="G102" s="13"/>
      <c r="H102" s="13"/>
      <c r="I102" s="6"/>
      <c r="J102" s="6"/>
      <c r="K102" s="6"/>
      <c r="L102" s="6"/>
      <c r="M102" s="6"/>
      <c r="N102" s="6"/>
      <c r="O102" s="6"/>
      <c r="P102" s="6"/>
    </row>
    <row r="103" ht="23.95" customHeight="1">
      <c r="A103" s="6"/>
      <c r="B103" t="s" s="19">
        <v>82</v>
      </c>
      <c r="C103" s="17"/>
      <c r="D103" s="60">
        <f>SUM(D99:D101)</f>
        <v>17946027.9924364</v>
      </c>
      <c r="E103" s="17"/>
      <c r="F103" s="17"/>
      <c r="G103" s="17"/>
      <c r="H103" s="32">
        <f>D103/$D$103</f>
        <v>1</v>
      </c>
      <c r="I103" s="6"/>
      <c r="J103" s="6"/>
      <c r="K103" s="6"/>
      <c r="L103" s="6"/>
      <c r="M103" s="6"/>
      <c r="N103" s="6"/>
      <c r="O103" s="6"/>
      <c r="P103" s="6"/>
    </row>
    <row r="104" ht="20.0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</sheetData>
  <mergeCells count="18">
    <mergeCell ref="A1:P1"/>
    <mergeCell ref="B13:D13"/>
    <mergeCell ref="B3:K3"/>
    <mergeCell ref="B42:F42"/>
    <mergeCell ref="B37:F37"/>
    <mergeCell ref="F79:L79"/>
    <mergeCell ref="B5:H5"/>
    <mergeCell ref="B8:L8"/>
    <mergeCell ref="B10:L10"/>
    <mergeCell ref="B9:L9"/>
    <mergeCell ref="H38:L38"/>
    <mergeCell ref="F77:L77"/>
    <mergeCell ref="F85:L85"/>
    <mergeCell ref="B11:L11"/>
    <mergeCell ref="B43:F43"/>
    <mergeCell ref="B52:D52"/>
    <mergeCell ref="B6:L6"/>
    <mergeCell ref="B7:L7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